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customXml/item1.xml" ContentType="application/xml"/>
  <Override PartName="/customXml/itemProps2.xml" ContentType="application/vnd.openxmlformats-officedocument.customXmlProperties+xml"/>
  <Override PartName="/customXml/item2.xml" ContentType="application/xml"/>
  <Override PartName="/customXml/itemProps1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520"/>
  </bookViews>
  <sheets>
    <sheet name="Sheet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B23" i="1"/>
  <c r="D13" i="1"/>
  <c r="C13" i="1"/>
  <c r="B13" i="1"/>
  <c r="B36" i="1"/>
  <c r="B35" i="1"/>
  <c r="B34" i="1"/>
  <c r="B33" i="1"/>
  <c r="B32" i="1"/>
  <c r="B31" i="1"/>
  <c r="B30" i="1"/>
  <c r="B29" i="1"/>
  <c r="B28" i="1"/>
  <c r="C17" i="1"/>
  <c r="B16" i="1"/>
  <c r="C31" i="1"/>
  <c r="C28" i="1"/>
  <c r="C16" i="1"/>
  <c r="B17" i="1"/>
  <c r="D15" i="1"/>
  <c r="C15" i="1"/>
  <c r="C36" i="1"/>
  <c r="C34" i="1"/>
  <c r="C32" i="1"/>
  <c r="C29" i="1"/>
  <c r="D17" i="1"/>
  <c r="B15" i="1"/>
  <c r="D36" i="1"/>
  <c r="D35" i="1"/>
  <c r="D34" i="1"/>
  <c r="D33" i="1"/>
  <c r="D32" i="1"/>
  <c r="D31" i="1"/>
  <c r="D30" i="1"/>
  <c r="D29" i="1"/>
  <c r="D28" i="1"/>
  <c r="D16" i="1"/>
  <c r="C35" i="1"/>
  <c r="C33" i="1"/>
  <c r="C30" i="1"/>
  <c r="D38" i="1" l="1"/>
  <c r="C38" i="1"/>
  <c r="B38" i="1"/>
  <c r="B21" i="1"/>
  <c r="D21" i="1"/>
  <c r="C21" i="1"/>
  <c r="C40" i="1" l="1"/>
  <c r="C42" i="1" s="1"/>
  <c r="C25" i="1"/>
  <c r="D40" i="1"/>
  <c r="D42" i="1" s="1"/>
  <c r="D25" i="1"/>
  <c r="B25" i="1"/>
  <c r="B40" i="1"/>
  <c r="B42" i="1" s="1"/>
</calcChain>
</file>

<file path=xl/sharedStrings.xml><?xml version="1.0" encoding="utf-8"?>
<sst xmlns="http://schemas.openxmlformats.org/spreadsheetml/2006/main" count="35" uniqueCount="35">
  <si>
    <t>Budget Summary - 2020/21</t>
  </si>
  <si>
    <t>Description</t>
  </si>
  <si>
    <t>2020/21</t>
  </si>
  <si>
    <t>2021/22</t>
  </si>
  <si>
    <t>2022/23</t>
  </si>
  <si>
    <t>Equitable Share</t>
  </si>
  <si>
    <t>RSC Levies Replacement</t>
  </si>
  <si>
    <t>Councillor Remuneration and Ward Committees</t>
  </si>
  <si>
    <t>Financial Management Grant</t>
  </si>
  <si>
    <t>Rural Roads Asset Management Systems Grant</t>
  </si>
  <si>
    <t>Expanded Public Works Programme Integrated Grant</t>
  </si>
  <si>
    <t>Municipal Systems Improvement Grant</t>
  </si>
  <si>
    <t>Disaster Relief Fund</t>
  </si>
  <si>
    <t>Total Grants - Per DORA 2019/20</t>
  </si>
  <si>
    <t>Investment Income</t>
  </si>
  <si>
    <t>Service Charges - Abattoir Income</t>
  </si>
  <si>
    <t>Other Income</t>
  </si>
  <si>
    <t>LEDET Biosphere Grant</t>
  </si>
  <si>
    <t>MWIG - 5% Commission ( To be Calculated )</t>
  </si>
  <si>
    <t>Total Operating Revenue</t>
  </si>
  <si>
    <t>Revenue per TB</t>
  </si>
  <si>
    <t>Difference</t>
  </si>
  <si>
    <t>Employee Costs</t>
  </si>
  <si>
    <t>Councillors Remuneration</t>
  </si>
  <si>
    <t>General Expenses</t>
  </si>
  <si>
    <t>General Expenses - Councillors</t>
  </si>
  <si>
    <t>Traditional Leaders - Remuneration</t>
  </si>
  <si>
    <t>Contracted Services - Fire Fighting</t>
  </si>
  <si>
    <t>Accounting Costs - Depreciation</t>
  </si>
  <si>
    <t>Accounting Costs - Employee Costs</t>
  </si>
  <si>
    <t>Project Expenditure</t>
  </si>
  <si>
    <t>Total Operating Costs</t>
  </si>
  <si>
    <t>Surplus/(Deficit)</t>
  </si>
  <si>
    <t>Surplus/(Deficit) - Excl Accounting Costs</t>
  </si>
  <si>
    <t>ANNEXURE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</si>
</sst>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3" borderId="0" xfId="0" applyFont="1" applyFill="1" applyAlignment="1">
      <alignment horizontal="center"/>
    </xf>
    <xf numFmtId="164" fontId="3" fillId="2" borderId="0" xfId="1" applyNumberFormat="1" applyFont="1" applyFill="1"/>
    <xf numFmtId="164" fontId="2" fillId="4" borderId="1" xfId="1" applyNumberFormat="1" applyFont="1" applyFill="1" applyBorder="1"/>
    <xf numFmtId="164" fontId="2" fillId="4" borderId="2" xfId="1" applyNumberFormat="1" applyFont="1" applyFill="1" applyBorder="1"/>
    <xf numFmtId="164" fontId="3" fillId="0" borderId="0" xfId="1" applyNumberFormat="1" applyFont="1"/>
    <xf numFmtId="0" fontId="3" fillId="0" borderId="0" xfId="0" applyFont="1"/>
    <xf numFmtId="164" fontId="2" fillId="5" borderId="0" xfId="0" applyNumberFormat="1" applyFont="1" applyFill="1"/>
    <xf numFmtId="164" fontId="2" fillId="4" borderId="0" xfId="1" applyNumberFormat="1" applyFont="1" applyFill="1"/>
    <xf numFmtId="164" fontId="3" fillId="2" borderId="0" xfId="0" applyNumberFormat="1" applyFont="1" applyFill="1"/>
    <xf numFmtId="164" fontId="2" fillId="4" borderId="0" xfId="0" applyNumberFormat="1" applyFont="1" applyFill="1"/>
    <xf numFmtId="0" fontId="4" fillId="0" borderId="0" xfId="0" applyFont="1"/>
    <xf numFmtId="164" fontId="4" fillId="2" borderId="0" xfId="1" applyNumberFormat="1" applyFont="1" applyFill="1"/>
    <xf numFmtId="0" fontId="2" fillId="2" borderId="0" xfId="0" applyFont="1" applyFill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devaal\AppData\Local\Microsoft\Windows\INetCache\Content.Outlook\GU1LAUPW\Final%20budget%20template%202021%20June%202020%20after%20Mayors%20chang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Budget%201617\Version%202.8%20Budget%20-%202016.17\Trial%20Balance%201%20-%20Februar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Sheet9"/>
      <sheetName val="Sheet10"/>
      <sheetName val="Sheet11"/>
      <sheetName val="Sheet12"/>
      <sheetName val="Sheet13"/>
      <sheetName val="ALL "/>
      <sheetName val="Delegation &amp; S&amp; T"/>
      <sheetName val="Budget Summary"/>
      <sheetName val="Departmental"/>
      <sheetName val="Sheet4"/>
      <sheetName val="Sheet14"/>
      <sheetName val="Sheet6"/>
      <sheetName val="Budget Summary new"/>
      <sheetName val="Sheet17"/>
      <sheetName val="Performance Bonus"/>
      <sheetName val="Sheet5"/>
      <sheetName val="Sheet7"/>
      <sheetName val="Sheet16"/>
      <sheetName val="Sheet15"/>
      <sheetName val="Chris Pivot"/>
      <sheetName val="Budget 2020"/>
      <sheetName val="Sheet3"/>
      <sheetName val="revised vacancies"/>
      <sheetName val="Vacancies"/>
      <sheetName val="Salaries"/>
      <sheetName val="Available Cash"/>
      <sheetName val="Abattoir Tariffs"/>
      <sheetName val="Sheet2"/>
      <sheetName val="Sheet1"/>
      <sheetName val="Dikala"/>
      <sheetName val="Konica 1"/>
      <sheetName val="Konica 2"/>
      <sheetName val="Konica"/>
      <sheetName val="Decscrip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3" t="str">
            <v>Row Labels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quiry_0001"/>
      <sheetName val="IS Summary"/>
      <sheetName val="IS Summary (2)"/>
      <sheetName val="Consol TB"/>
      <sheetName val="Munsoft Upload"/>
      <sheetName val="Projects"/>
      <sheetName val="BTO"/>
      <sheetName val="OMM"/>
      <sheetName val="CSS"/>
      <sheetName val="PED"/>
      <sheetName val="ID"/>
      <sheetName val="OEM"/>
      <sheetName val="SDSC"/>
      <sheetName val="DISASTER"/>
      <sheetName val="MUNICIPAL HEALTH"/>
      <sheetName val="ABATTOIR"/>
      <sheetName val="Weda Budget"/>
      <sheetName val="CPI"/>
    </sheetNames>
    <sheetDataSet>
      <sheetData sheetId="0" refreshError="1"/>
      <sheetData sheetId="1" refreshError="1"/>
      <sheetData sheetId="2" refreshError="1"/>
      <sheetData sheetId="3" refreshError="1">
        <row r="1063">
          <cell r="I1063">
            <v>-130320900</v>
          </cell>
          <cell r="J1063">
            <v>-134459303.80000001</v>
          </cell>
          <cell r="K1063">
            <v>-137950310.72420001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B1" sqref="B1:D1"/>
    </sheetView>
  </sheetViews>
  <sheetFormatPr defaultRowHeight="15" x14ac:dyDescent="0.25"/>
  <cols>
    <col min="1" max="1" width="45" bestFit="1" customWidth="1"/>
    <col min="2" max="4" width="13.28515625" bestFit="1" customWidth="1"/>
  </cols>
  <sheetData>
    <row r="1" spans="1:4" ht="30.75" customHeight="1" x14ac:dyDescent="0.25">
      <c r="A1" s="1"/>
      <c r="B1" s="16" t="s">
        <v>34</v>
      </c>
      <c r="C1" s="17"/>
      <c r="D1" s="18"/>
    </row>
    <row r="2" spans="1:4" x14ac:dyDescent="0.25">
      <c r="A2" s="1" t="s">
        <v>0</v>
      </c>
      <c r="B2" s="15"/>
      <c r="C2" s="15"/>
      <c r="D2" s="15"/>
    </row>
    <row r="3" spans="1:4" x14ac:dyDescent="0.25">
      <c r="A3" s="3" t="s">
        <v>1</v>
      </c>
      <c r="B3" s="3" t="s">
        <v>2</v>
      </c>
      <c r="C3" s="3" t="s">
        <v>3</v>
      </c>
      <c r="D3" s="3" t="s">
        <v>4</v>
      </c>
    </row>
    <row r="4" spans="1:4" ht="14.45" x14ac:dyDescent="0.3">
      <c r="A4" s="2" t="s">
        <v>5</v>
      </c>
      <c r="B4" s="4">
        <v>39964000</v>
      </c>
      <c r="C4" s="4">
        <v>42910000</v>
      </c>
      <c r="D4" s="4">
        <v>45457000</v>
      </c>
    </row>
    <row r="5" spans="1:4" ht="14.45" x14ac:dyDescent="0.3">
      <c r="A5" s="2" t="s">
        <v>6</v>
      </c>
      <c r="B5" s="4">
        <v>88678000</v>
      </c>
      <c r="C5" s="4">
        <v>91165000</v>
      </c>
      <c r="D5" s="4">
        <v>93367000</v>
      </c>
    </row>
    <row r="6" spans="1:4" ht="14.45" x14ac:dyDescent="0.3">
      <c r="A6" s="2" t="s">
        <v>7</v>
      </c>
      <c r="B6" s="4">
        <v>6418000</v>
      </c>
      <c r="C6" s="4">
        <v>6726000</v>
      </c>
      <c r="D6" s="4">
        <v>7049000</v>
      </c>
    </row>
    <row r="7" spans="1:4" ht="14.45" x14ac:dyDescent="0.3">
      <c r="A7" s="2" t="s">
        <v>8</v>
      </c>
      <c r="B7" s="4">
        <v>1000000</v>
      </c>
      <c r="C7" s="4">
        <v>1000000</v>
      </c>
      <c r="D7" s="4">
        <v>1000000</v>
      </c>
    </row>
    <row r="8" spans="1:4" ht="14.45" x14ac:dyDescent="0.3">
      <c r="A8" s="2" t="s">
        <v>9</v>
      </c>
      <c r="B8" s="4">
        <v>2151000</v>
      </c>
      <c r="C8" s="4">
        <v>2269000</v>
      </c>
      <c r="D8" s="4">
        <v>2400000</v>
      </c>
    </row>
    <row r="9" spans="1:4" ht="14.45" x14ac:dyDescent="0.3">
      <c r="A9" s="2" t="s">
        <v>10</v>
      </c>
      <c r="B9" s="4">
        <v>1000000</v>
      </c>
      <c r="C9" s="4">
        <v>0</v>
      </c>
      <c r="D9" s="4">
        <v>0</v>
      </c>
    </row>
    <row r="10" spans="1:4" ht="14.45" x14ac:dyDescent="0.3">
      <c r="A10" s="2" t="s">
        <v>11</v>
      </c>
      <c r="B10" s="4">
        <v>300000</v>
      </c>
      <c r="C10" s="4">
        <v>500000</v>
      </c>
      <c r="D10" s="4">
        <v>0</v>
      </c>
    </row>
    <row r="11" spans="1:4" ht="14.45" x14ac:dyDescent="0.3">
      <c r="A11" s="2" t="s">
        <v>12</v>
      </c>
      <c r="B11" s="4">
        <v>1192000</v>
      </c>
      <c r="C11" s="4"/>
      <c r="D11" s="4"/>
    </row>
    <row r="12" spans="1:4" ht="14.45" x14ac:dyDescent="0.3">
      <c r="A12" s="2"/>
      <c r="B12" s="4"/>
      <c r="C12" s="4"/>
      <c r="D12" s="4"/>
    </row>
    <row r="13" spans="1:4" thickBot="1" x14ac:dyDescent="0.35">
      <c r="A13" s="1" t="s">
        <v>13</v>
      </c>
      <c r="B13" s="5">
        <f>SUM(B4:B12)</f>
        <v>140703000</v>
      </c>
      <c r="C13" s="5">
        <f>SUM(C4:C12)</f>
        <v>144570000</v>
      </c>
      <c r="D13" s="5">
        <f>SUM(D4:D12)</f>
        <v>149273000</v>
      </c>
    </row>
    <row r="14" spans="1:4" thickTop="1" x14ac:dyDescent="0.3">
      <c r="A14" s="2"/>
      <c r="B14" s="4"/>
      <c r="C14" s="4"/>
      <c r="D14" s="4"/>
    </row>
    <row r="15" spans="1:4" ht="14.45" x14ac:dyDescent="0.3">
      <c r="A15" s="2" t="s">
        <v>14</v>
      </c>
      <c r="B15" s="4">
        <f>-GETPIVOTDATA("Sum of Draft Budget 2020/21",[1]Sheet6!$A$3,"I/s Category","01 Income","Item Description ","02 Investment Income")</f>
        <v>8799744.3599999994</v>
      </c>
      <c r="C15" s="4">
        <f>-GETPIVOTDATA("Sum of Draft Budget 2021/22",[1]Sheet6!$A$3,"I/s Category","01 Income","Item Description ","02 Investment Income")</f>
        <v>9204532.6005600002</v>
      </c>
      <c r="D15" s="4">
        <f>-GETPIVOTDATA("Sum of Draft Budget 2022/23",[1]Sheet6!$A$3,"I/s Category","01 Income","Item Description ","02 Investment Income")</f>
        <v>9627941.1001857594</v>
      </c>
    </row>
    <row r="16" spans="1:4" ht="14.45" x14ac:dyDescent="0.3">
      <c r="A16" s="2" t="s">
        <v>15</v>
      </c>
      <c r="B16" s="4">
        <f>-GETPIVOTDATA("Sum of Draft Budget 2020/21",[1]Sheet6!$A$3,"I/s Category","01 Income","Item Description ","03 Service Charges ")</f>
        <v>864969.97517585277</v>
      </c>
      <c r="C16" s="4">
        <f>-GETPIVOTDATA("Sum of Draft Budget 2021/22",[1]Sheet6!$A$3,"I/s Category","01 Income","Item Description ","03 Service Charges ")</f>
        <v>904758.59403394209</v>
      </c>
      <c r="D16" s="4">
        <f>-GETPIVOTDATA("Sum of Draft Budget 2022/23",[1]Sheet6!$A$3,"I/s Category","01 Income","Item Description ","03 Service Charges ")</f>
        <v>946377.48935950338</v>
      </c>
    </row>
    <row r="17" spans="1:4" ht="14.45" x14ac:dyDescent="0.3">
      <c r="A17" s="2" t="s">
        <v>16</v>
      </c>
      <c r="B17" s="4">
        <f>-GETPIVOTDATA("Sum of Draft Budget 2020/21",[1]Sheet6!$A$3,"I/s Category","01 Income","Item Description ","04 Other Income")</f>
        <v>200664.6</v>
      </c>
      <c r="C17" s="4">
        <f>-GETPIVOTDATA("Sum of Draft Budget 2021/22",[1]Sheet6!$A$3,"I/s Category","01 Income","Item Description ","04 Other Income")</f>
        <v>209895.1716</v>
      </c>
      <c r="D17" s="4">
        <f>-GETPIVOTDATA("Sum of Draft Budget 2022/23",[1]Sheet6!$A$3,"I/s Category","01 Income","Item Description ","04 Other Income")</f>
        <v>219550.34949360002</v>
      </c>
    </row>
    <row r="18" spans="1:4" ht="14.45" x14ac:dyDescent="0.3">
      <c r="A18" s="2" t="s">
        <v>17</v>
      </c>
      <c r="B18" s="4">
        <v>0</v>
      </c>
      <c r="C18" s="4">
        <v>0</v>
      </c>
      <c r="D18" s="4">
        <v>0</v>
      </c>
    </row>
    <row r="19" spans="1:4" ht="14.45" x14ac:dyDescent="0.3">
      <c r="A19" s="2" t="s">
        <v>18</v>
      </c>
      <c r="B19" s="4">
        <v>0</v>
      </c>
      <c r="C19" s="4">
        <v>0</v>
      </c>
      <c r="D19" s="4">
        <v>0</v>
      </c>
    </row>
    <row r="20" spans="1:4" ht="14.45" x14ac:dyDescent="0.3">
      <c r="A20" s="2"/>
      <c r="B20" s="4"/>
      <c r="C20" s="4"/>
      <c r="D20" s="4"/>
    </row>
    <row r="21" spans="1:4" thickBot="1" x14ac:dyDescent="0.35">
      <c r="A21" s="1" t="s">
        <v>19</v>
      </c>
      <c r="B21" s="6">
        <f>SUM(B13:B20)</f>
        <v>150568378.93517587</v>
      </c>
      <c r="C21" s="6">
        <f>SUM(C13:C20)</f>
        <v>154889186.36619398</v>
      </c>
      <c r="D21" s="6">
        <f>SUM(D13:D20)</f>
        <v>160066868.93903884</v>
      </c>
    </row>
    <row r="22" spans="1:4" ht="14.45" hidden="1" x14ac:dyDescent="0.3">
      <c r="A22" s="2"/>
      <c r="B22" s="7"/>
      <c r="C22" s="7"/>
      <c r="D22" s="7"/>
    </row>
    <row r="23" spans="1:4" ht="14.45" hidden="1" x14ac:dyDescent="0.3">
      <c r="A23" s="2" t="s">
        <v>20</v>
      </c>
      <c r="B23" s="7">
        <f>'[2]Consol TB'!I1063</f>
        <v>-130320900</v>
      </c>
      <c r="C23" s="7">
        <f>'[2]Consol TB'!J1063</f>
        <v>-134459303.80000001</v>
      </c>
      <c r="D23" s="7">
        <f>'[2]Consol TB'!K1063</f>
        <v>-137950310.72420001</v>
      </c>
    </row>
    <row r="24" spans="1:4" ht="14.45" hidden="1" x14ac:dyDescent="0.3">
      <c r="A24" s="2"/>
      <c r="B24" s="8"/>
      <c r="C24" s="8"/>
      <c r="D24" s="8"/>
    </row>
    <row r="25" spans="1:4" ht="14.45" hidden="1" x14ac:dyDescent="0.3">
      <c r="A25" s="1" t="s">
        <v>21</v>
      </c>
      <c r="B25" s="9">
        <f>+B21+B23</f>
        <v>20247478.935175866</v>
      </c>
      <c r="C25" s="9">
        <f>+C21+C23</f>
        <v>20429882.566193968</v>
      </c>
      <c r="D25" s="9">
        <f>+D21+D23</f>
        <v>22116558.214838833</v>
      </c>
    </row>
    <row r="26" spans="1:4" ht="14.45" hidden="1" x14ac:dyDescent="0.3">
      <c r="A26" s="2"/>
      <c r="B26" s="8"/>
      <c r="C26" s="8"/>
      <c r="D26" s="8"/>
    </row>
    <row r="27" spans="1:4" ht="14.45" hidden="1" x14ac:dyDescent="0.3">
      <c r="A27" s="2"/>
      <c r="B27" s="2"/>
      <c r="C27" s="2"/>
      <c r="D27" s="2"/>
    </row>
    <row r="28" spans="1:4" ht="14.45" x14ac:dyDescent="0.3">
      <c r="A28" s="2" t="s">
        <v>22</v>
      </c>
      <c r="B28" s="4">
        <f>GETPIVOTDATA("Sum of Draft Budget 2020/21",[1]Sheet6!$A$3,"I/s Category","02 Expenditure","Item Description ","05 Employee Costs")</f>
        <v>118487139.551916</v>
      </c>
      <c r="C28" s="4">
        <f>GETPIVOTDATA("Sum of Draft Budget 2021/22",[1]Sheet6!$A$3,"I/s Category","02 Expenditure","Item Description ","05 Employee Costs")</f>
        <v>125891343.00047322</v>
      </c>
      <c r="D28" s="4">
        <f>GETPIVOTDATA("Sum of Draft Budget 2022/23",[1]Sheet6!$A$3,"I/s Category","02 Expenditure","Item Description ","05 Employee Costs")</f>
        <v>133714926.93800285</v>
      </c>
    </row>
    <row r="29" spans="1:4" ht="14.45" x14ac:dyDescent="0.3">
      <c r="A29" s="2" t="s">
        <v>23</v>
      </c>
      <c r="B29" s="4">
        <f>GETPIVOTDATA("Sum of Draft Budget 2020/21",[1]Sheet6!$A$3,"I/s Category","02 Expenditure","Item Description ","06 Councillors Remuneration")</f>
        <v>9125682.9600000009</v>
      </c>
      <c r="C29" s="4">
        <f>GETPIVOTDATA("Sum of Draft Budget 2021/22",[1]Sheet6!$A$3,"I/s Category","02 Expenditure","Item Description ","06 Councillors Remuneration")</f>
        <v>9696038.1449999996</v>
      </c>
      <c r="D29" s="4">
        <f>GETPIVOTDATA("Sum of Draft Budget 2022/23",[1]Sheet6!$A$3,"I/s Category","02 Expenditure","Item Description ","06 Councillors Remuneration")</f>
        <v>10302040.5290625</v>
      </c>
    </row>
    <row r="30" spans="1:4" ht="14.45" x14ac:dyDescent="0.3">
      <c r="A30" s="2" t="s">
        <v>24</v>
      </c>
      <c r="B30" s="4">
        <f>GETPIVOTDATA("Sum of Draft Budget 2020/21",[1]Sheet6!$A$3,"I/s Category","02 Expenditure","Item Description ","12 Genera Expenses")+GETPIVOTDATA("Sum of Draft Budget 2020/21",[1]Sheet6!$A$3,"I/s Category","02 Expenditure","Item Description ","15 Repairs and maintanance")</f>
        <v>27931049.726779819</v>
      </c>
      <c r="C30" s="4">
        <f>GETPIVOTDATA("Sum of Draft Budget 2021/22",[1]Sheet6!$A$3,"I/s Category","02 Expenditure","Item Description ","12 Genera Expenses")+GETPIVOTDATA("Sum of Draft Budget 2021/22",[1]Sheet6!$A$3,"I/s Category","02 Expenditure","Item Description ","15 Repairs and maintanance")</f>
        <v>29054878.202491689</v>
      </c>
      <c r="D30" s="4">
        <f>GETPIVOTDATA("Sum of Draft Budget 2022/23",[1]Sheet6!$A$3,"I/s Category","02 Expenditure","Item Description ","12 Genera Expenses")+GETPIVOTDATA("Sum of Draft Budget 2022/23",[1]Sheet6!$A$3,"I/s Category","02 Expenditure","Item Description ","15 Repairs and maintanance")</f>
        <v>30230402.599806301</v>
      </c>
    </row>
    <row r="31" spans="1:4" ht="14.45" x14ac:dyDescent="0.3">
      <c r="A31" s="2" t="s">
        <v>25</v>
      </c>
      <c r="B31" s="4">
        <f>GETPIVOTDATA("Sum of Draft Budget 2020/21",[1]Sheet6!$A$3,"I/s Category","02 Expenditure","Item Description ","09 General Expenses - Councillors")</f>
        <v>2297500</v>
      </c>
      <c r="C31" s="4">
        <f>GETPIVOTDATA("Sum of Draft Budget 2021/22",[1]Sheet6!$A$3,"I/s Category","02 Expenditure","Item Description ","09 General Expenses - Councillors")</f>
        <v>2403185</v>
      </c>
      <c r="D31" s="4">
        <f>GETPIVOTDATA("Sum of Draft Budget 2022/23",[1]Sheet6!$A$3,"I/s Category","02 Expenditure","Item Description ","09 General Expenses - Councillors")</f>
        <v>2513731.5100000002</v>
      </c>
    </row>
    <row r="32" spans="1:4" ht="14.45" x14ac:dyDescent="0.3">
      <c r="A32" s="2" t="s">
        <v>26</v>
      </c>
      <c r="B32" s="4">
        <f>GETPIVOTDATA("Sum of Draft Budget 2020/21",[1]Sheet6!$A$3,"I/s Category","02 Expenditure","Item Description ","07 Traditional Leaders remunerarion")</f>
        <v>107174.205</v>
      </c>
      <c r="C32" s="4">
        <f>GETPIVOTDATA("Sum of Draft Budget 2021/22",[1]Sheet6!$A$3,"I/s Category","02 Expenditure","Item Description ","07 Traditional Leaders remunerarion")</f>
        <v>113872.59281250001</v>
      </c>
      <c r="D32" s="4">
        <f>GETPIVOTDATA("Sum of Draft Budget 2022/23",[1]Sheet6!$A$3,"I/s Category","02 Expenditure","Item Description ","07 Traditional Leaders remunerarion")</f>
        <v>120989.62986328125</v>
      </c>
    </row>
    <row r="33" spans="1:4" x14ac:dyDescent="0.25">
      <c r="A33" s="2" t="s">
        <v>27</v>
      </c>
      <c r="B33" s="4">
        <f>GETPIVOTDATA("Sum of Draft Budget 2020/21",[1]Sheet6!$A$3,"I/s Category","02 Expenditure","Item Description ","08 Conttracted Services")</f>
        <v>8279717.517599999</v>
      </c>
      <c r="C33" s="4">
        <f>GETPIVOTDATA("Sum of Draft Budget 2021/22",[1]Sheet6!$A$3,"I/s Category","02 Expenditure","Item Description ","08 Conttracted Services")</f>
        <v>8660584.5234095994</v>
      </c>
      <c r="D33" s="4">
        <f>GETPIVOTDATA("Sum of Draft Budget 2022/23",[1]Sheet6!$A$3,"I/s Category","02 Expenditure","Item Description ","08 Conttracted Services")</f>
        <v>9058971.4114864413</v>
      </c>
    </row>
    <row r="34" spans="1:4" x14ac:dyDescent="0.25">
      <c r="A34" s="2" t="s">
        <v>28</v>
      </c>
      <c r="B34" s="4">
        <f>GETPIVOTDATA("Sum of Draft Budget 2020/21",[1]Sheet6!$A$3,"I/s Category","02 Expenditure","Item Description ","11 Accounting Cost - Depreciation ")</f>
        <v>8627714.9425712191</v>
      </c>
      <c r="C34" s="4">
        <f>GETPIVOTDATA("Sum of Draft Budget 2021/22",[1]Sheet6!$A$3,"I/s Category","02 Expenditure","Item Description ","11 Accounting Cost - Depreciation ")</f>
        <v>9024589.829929499</v>
      </c>
      <c r="D34" s="4">
        <f>GETPIVOTDATA("Sum of Draft Budget 2022/23",[1]Sheet6!$A$3,"I/s Category","02 Expenditure","Item Description ","11 Accounting Cost - Depreciation ")</f>
        <v>9439720.9621062521</v>
      </c>
    </row>
    <row r="35" spans="1:4" x14ac:dyDescent="0.25">
      <c r="A35" s="2" t="s">
        <v>29</v>
      </c>
      <c r="B35" s="4">
        <f>GETPIVOTDATA("Sum of Draft Budget 2020/21",[1]Sheet6!$A$3,"I/s Category","02 Expenditure","Item Description ","10 Accounting costs - Employee costs")</f>
        <v>4024085.9999999995</v>
      </c>
      <c r="C35" s="4">
        <f>GETPIVOTDATA("Sum of Draft Budget 2021/22",[1]Sheet6!$A$3,"I/s Category","02 Expenditure","Item Description ","10 Accounting costs - Employee costs")</f>
        <v>4209193.9560000002</v>
      </c>
      <c r="D35" s="4">
        <f>GETPIVOTDATA("Sum of Draft Budget 2022/23",[1]Sheet6!$A$3,"I/s Category","02 Expenditure","Item Description ","10 Accounting costs - Employee costs")</f>
        <v>4402816.8779760012</v>
      </c>
    </row>
    <row r="36" spans="1:4" x14ac:dyDescent="0.25">
      <c r="A36" s="2" t="s">
        <v>30</v>
      </c>
      <c r="B36" s="4">
        <f>GETPIVOTDATA("Sum of Draft Budget 2020/21",[1]Sheet6!$A$3,"I/s Category","02 Expenditure","Item Description ","13 Project Expenditure")</f>
        <v>5243000</v>
      </c>
      <c r="C36" s="4">
        <f>GETPIVOTDATA("Sum of Draft Budget 2021/22",[1]Sheet6!$A$3,"I/s Category","02 Expenditure","Item Description ","13 Project Expenditure")</f>
        <v>2269000</v>
      </c>
      <c r="D36" s="4">
        <f>GETPIVOTDATA("Sum of Draft Budget 2022/23",[1]Sheet6!$A$3,"I/s Category","02 Expenditure","Item Description ","13 Project Expenditure")</f>
        <v>2400000</v>
      </c>
    </row>
    <row r="37" spans="1:4" x14ac:dyDescent="0.25">
      <c r="A37" s="2"/>
      <c r="B37" s="4"/>
      <c r="C37" s="2"/>
      <c r="D37" s="2"/>
    </row>
    <row r="38" spans="1:4" ht="15.75" thickBot="1" x14ac:dyDescent="0.3">
      <c r="A38" s="1" t="s">
        <v>31</v>
      </c>
      <c r="B38" s="5">
        <f>SUM(B28:B37)-1</f>
        <v>184123063.90386707</v>
      </c>
      <c r="C38" s="5">
        <f>SUM(C28:C37)-1</f>
        <v>191322684.25011653</v>
      </c>
      <c r="D38" s="5">
        <f>SUM(D28:D37)</f>
        <v>202183600.45830366</v>
      </c>
    </row>
    <row r="39" spans="1:4" ht="15.75" thickTop="1" x14ac:dyDescent="0.25">
      <c r="A39" s="2"/>
      <c r="B39" s="8"/>
      <c r="C39" s="4"/>
      <c r="D39" s="4"/>
    </row>
    <row r="40" spans="1:4" x14ac:dyDescent="0.25">
      <c r="A40" s="1" t="s">
        <v>32</v>
      </c>
      <c r="B40" s="10">
        <f>B21-B38</f>
        <v>-33554684.9686912</v>
      </c>
      <c r="C40" s="10">
        <f t="shared" ref="C40:D40" si="0">C21-C38</f>
        <v>-36433497.883922547</v>
      </c>
      <c r="D40" s="10">
        <f t="shared" si="0"/>
        <v>-42116731.519264817</v>
      </c>
    </row>
    <row r="41" spans="1:4" x14ac:dyDescent="0.25">
      <c r="A41" s="2"/>
      <c r="B41" s="11"/>
      <c r="C41" s="11"/>
      <c r="D41" s="11"/>
    </row>
    <row r="42" spans="1:4" x14ac:dyDescent="0.25">
      <c r="A42" s="1" t="s">
        <v>33</v>
      </c>
      <c r="B42" s="12">
        <f>B40+B35+B34</f>
        <v>-20902884.026119981</v>
      </c>
      <c r="C42" s="12">
        <f t="shared" ref="C42:D42" si="1">C40+C35+C34</f>
        <v>-23199714.097993046</v>
      </c>
      <c r="D42" s="12">
        <f t="shared" si="1"/>
        <v>-28274193.679182567</v>
      </c>
    </row>
    <row r="43" spans="1:4" x14ac:dyDescent="0.25">
      <c r="A43" s="13"/>
      <c r="B43" s="14"/>
      <c r="C43" s="13"/>
      <c r="D43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0DF7CEFED47C4081EBACCFBCE62303" ma:contentTypeVersion="1" ma:contentTypeDescription="Create a new document." ma:contentTypeScope="" ma:versionID="d248963deac00380932ed576ff414a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CB78844-8531-40C6-88EC-B09D81098627}"/>
</file>

<file path=customXml/itemProps2.xml><?xml version="1.0" encoding="utf-8"?>
<ds:datastoreItem xmlns:ds="http://schemas.openxmlformats.org/officeDocument/2006/customXml" ds:itemID="{D5E80E11-C6E4-4319-88FD-2E961AF528A2}"/>
</file>

<file path=customXml/itemProps3.xml><?xml version="1.0" encoding="utf-8"?>
<ds:datastoreItem xmlns:ds="http://schemas.openxmlformats.org/officeDocument/2006/customXml" ds:itemID="{22447EC9-6D27-4F9C-901F-547033C141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Takalani Muelelwa</dc:creator>
  <cp:lastModifiedBy>Florence De Vaal</cp:lastModifiedBy>
  <cp:lastPrinted>2020-06-27T08:57:27Z</cp:lastPrinted>
  <dcterms:created xsi:type="dcterms:W3CDTF">2020-06-27T08:53:35Z</dcterms:created>
  <dcterms:modified xsi:type="dcterms:W3CDTF">2020-06-27T08:58:04Z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0x010100050DF7CEFED47C4081EBACCFBCE62303</vt:lpwstr>
  </property>
</Properties>
</file>